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bookViews>
    <workbookView xWindow="0" yWindow="180" windowWidth="15480" windowHeight="8415" activeTab="1"/>
  </bookViews>
  <sheets>
    <sheet name="Cedolare secca" sheetId="1" r:id="rId1"/>
    <sheet name="Calcolo Convenienza" sheetId="2" r:id="rId2"/>
  </sheets>
  <calcPr calcId="152511"/>
</workbook>
</file>

<file path=xl/calcChain.xml><?xml version="1.0" encoding="utf-8"?>
<calcChain xmlns="http://schemas.openxmlformats.org/spreadsheetml/2006/main">
  <c r="E39" i="2" l="1"/>
  <c r="E40" i="2"/>
  <c r="E41" i="2"/>
  <c r="E42" i="2"/>
  <c r="C71" i="2"/>
  <c r="C65" i="2"/>
  <c r="C64" i="2"/>
  <c r="B64" i="2"/>
  <c r="C63" i="2"/>
  <c r="B56" i="2"/>
  <c r="C54" i="2"/>
  <c r="C52" i="2"/>
  <c r="J39" i="2"/>
  <c r="C48" i="2" s="1"/>
  <c r="K22" i="2"/>
  <c r="K20" i="2"/>
  <c r="E20" i="2"/>
  <c r="K16" i="2"/>
  <c r="K17" i="2" s="1"/>
  <c r="I12" i="2"/>
  <c r="E16" i="2" s="1"/>
  <c r="B65" i="2" l="1"/>
  <c r="C53" i="2"/>
  <c r="C72" i="2"/>
  <c r="E17" i="2"/>
  <c r="B57" i="2"/>
  <c r="C59" i="2" s="1"/>
  <c r="E23" i="1"/>
  <c r="E6" i="1"/>
  <c r="E8" i="1" s="1"/>
  <c r="C61" i="2" l="1"/>
  <c r="C68" i="2" s="1"/>
  <c r="E36" i="1"/>
  <c r="E35" i="1"/>
  <c r="L24" i="1"/>
  <c r="L25" i="1"/>
  <c r="L1" i="1"/>
  <c r="L2" i="1" s="1"/>
  <c r="E11" i="1" s="1"/>
  <c r="E14" i="1" s="1"/>
  <c r="E16" i="1" s="1"/>
  <c r="E37" i="1"/>
  <c r="K18" i="2" l="1"/>
  <c r="K19" i="2" s="1"/>
  <c r="K24" i="2" s="1"/>
  <c r="E18" i="2"/>
  <c r="E19" i="2" s="1"/>
  <c r="E24" i="2" s="1"/>
  <c r="E32" i="1"/>
  <c r="L26" i="1"/>
  <c r="E31" i="1" s="1"/>
  <c r="K26" i="2" l="1"/>
  <c r="E26" i="2"/>
  <c r="E26" i="1"/>
  <c r="E28" i="1"/>
  <c r="E30" i="1"/>
</calcChain>
</file>

<file path=xl/sharedStrings.xml><?xml version="1.0" encoding="utf-8"?>
<sst xmlns="http://schemas.openxmlformats.org/spreadsheetml/2006/main" count="97" uniqueCount="70">
  <si>
    <t>Importo del canone mensile</t>
  </si>
  <si>
    <t>Canone libero o convenzionale</t>
  </si>
  <si>
    <t>In alternativa:</t>
  </si>
  <si>
    <t>Libero</t>
  </si>
  <si>
    <t>Convenzionale</t>
  </si>
  <si>
    <t>cedolare</t>
  </si>
  <si>
    <t>acconto</t>
  </si>
  <si>
    <t>Percentuale di comproprietà dell'immobile affittato</t>
  </si>
  <si>
    <t>dichiarazione</t>
  </si>
  <si>
    <t>oppure</t>
  </si>
  <si>
    <t>Totale annuo del reddito derivante dai canoni d'affitto senza riduzioni</t>
  </si>
  <si>
    <t>Calcolo cedolare secca sugli affitti</t>
  </si>
  <si>
    <t>Totale cedolare secca da pagare per l'anno in corso</t>
  </si>
  <si>
    <t>Numero mensilità per l'anno precedente</t>
  </si>
  <si>
    <t>Totale cedolare secca da pagare per l'anno precedente</t>
  </si>
  <si>
    <t>Saldo da versare entro il 16 luglio con maggiorazione</t>
  </si>
  <si>
    <t>Numero mensilità per l'anno in corso</t>
  </si>
  <si>
    <t>Primo acconto da versare entro il 16 luglio con maggiorazione</t>
  </si>
  <si>
    <t>Totale acconto dovuto per l'anno in corso</t>
  </si>
  <si>
    <t>Dati riferiti all'anno precedente (calcolo del saldo)</t>
  </si>
  <si>
    <t>Dati riferiti all'anno in corso (calcolo del 1° e 2° acconto)</t>
  </si>
  <si>
    <t>Secondo o unico acconto versato nell'anno precedente</t>
  </si>
  <si>
    <r>
      <t>Eventuale primo acconto pagato in misura diversa</t>
    </r>
    <r>
      <rPr>
        <sz val="8"/>
        <color indexed="8"/>
        <rFont val="Calibri"/>
        <family val="2"/>
      </rPr>
      <t xml:space="preserve"> (digitare zero se non pagato proprio)</t>
    </r>
  </si>
  <si>
    <r>
      <t>In alternativa ai dati precedenti</t>
    </r>
    <r>
      <rPr>
        <sz val="11"/>
        <color indexed="8"/>
        <rFont val="Calibri"/>
        <family val="2"/>
      </rPr>
      <t>, per chi ha più affitti:</t>
    </r>
  </si>
  <si>
    <t>più affitti</t>
  </si>
  <si>
    <r>
      <t>Saldo da versare entro il 16 giugno</t>
    </r>
    <r>
      <rPr>
        <sz val="8"/>
        <color indexed="8"/>
        <rFont val="Calibri"/>
        <family val="2"/>
      </rPr>
      <t xml:space="preserve"> (codice tributo 1842)</t>
    </r>
  </si>
  <si>
    <r>
      <t>Primo acconto da versare entro il 16 giugno</t>
    </r>
    <r>
      <rPr>
        <sz val="8"/>
        <color indexed="8"/>
        <rFont val="Calibri"/>
        <family val="2"/>
      </rPr>
      <t xml:space="preserve"> (codice tributo 1840)</t>
    </r>
  </si>
  <si>
    <r>
      <t>Secondo o unico acconto da versare entro il 30 novembre</t>
    </r>
    <r>
      <rPr>
        <sz val="8"/>
        <color indexed="8"/>
        <rFont val="Calibri"/>
        <family val="2"/>
      </rPr>
      <t xml:space="preserve"> (codice tributo 1841)</t>
    </r>
  </si>
  <si>
    <t>Primo acconto versato nell'anno precedente</t>
  </si>
  <si>
    <t>Totale imposta cedolare secca anno precedente (rigo B11 col. 3 dell'Unico PF)</t>
  </si>
  <si>
    <r>
      <t>Metodo storico</t>
    </r>
    <r>
      <rPr>
        <b/>
        <sz val="11"/>
        <color indexed="8"/>
        <rFont val="Calibri"/>
        <family val="2"/>
      </rPr>
      <t xml:space="preserve"> (se più favorevole per gli acconti, utilizzare i dati dell'anno precedente)</t>
    </r>
  </si>
  <si>
    <t>Primo acconto da versare entro il 16 giugno (codice tributo 1840)</t>
  </si>
  <si>
    <t>v. 1.0</t>
  </si>
  <si>
    <r>
      <t>Importo indicato in dichiarazione dei redditi</t>
    </r>
    <r>
      <rPr>
        <sz val="8"/>
        <color indexed="8"/>
        <rFont val="Calibri"/>
        <family val="2"/>
      </rPr>
      <t xml:space="preserve"> (quindi al netto del 13% di riduzione)</t>
    </r>
  </si>
  <si>
    <t>CALCOLO DI CONVENIENZA APPLICAZIONE IMPOSTA SOSTITUTIVA REDDITI FABBRICATI</t>
  </si>
  <si>
    <t>SGT   V. 1.0</t>
  </si>
  <si>
    <t>mesi coniuge a carico</t>
  </si>
  <si>
    <t>n. figli a carico</t>
  </si>
  <si>
    <t>Redditi immobili                               (quota deducibile 15%)</t>
  </si>
  <si>
    <t>Redditi immobili a equo  canone                              (quota deducibile 15%+30%)</t>
  </si>
  <si>
    <t>Reddito catastale di immobili   non locati</t>
  </si>
  <si>
    <t>Redditi di lavoro dipendente, pensione o assimilati</t>
  </si>
  <si>
    <t>Altri rediti imponibili Irpef</t>
  </si>
  <si>
    <t>Oneri deducibili dal reddito</t>
  </si>
  <si>
    <t>CUMULO DEI REDDITI</t>
  </si>
  <si>
    <t>IMPOSTA SOSTITUTIVA</t>
  </si>
  <si>
    <t>REDDITO COMPLESSIVO IMPONIBILE</t>
  </si>
  <si>
    <t xml:space="preserve">REDDITO IMPONIBILE </t>
  </si>
  <si>
    <t>IMPOSTA LORDA</t>
  </si>
  <si>
    <t xml:space="preserve">DETRAZIONI </t>
  </si>
  <si>
    <t>DETRAZIONI</t>
  </si>
  <si>
    <t>REDDITO IRPEF NETTO</t>
  </si>
  <si>
    <t>DEDUZIONI IMMOBILI</t>
  </si>
  <si>
    <t>REDDITO DEI FABBRICATI</t>
  </si>
  <si>
    <t>REDDITO NETTO</t>
  </si>
  <si>
    <t>PERDITA PARI AD EURO</t>
  </si>
  <si>
    <t>GUADAGNO PARI AD EURO</t>
  </si>
  <si>
    <t>reddito complessivo</t>
  </si>
  <si>
    <t>imposta lorda</t>
  </si>
  <si>
    <t>detrazioni</t>
  </si>
  <si>
    <t>coniuge</t>
  </si>
  <si>
    <t>incremento</t>
  </si>
  <si>
    <t>quoziente</t>
  </si>
  <si>
    <t>figli</t>
  </si>
  <si>
    <t>totale detrazioni familiari</t>
  </si>
  <si>
    <t>detrazioni lavoro dipendenta</t>
  </si>
  <si>
    <t>quoziente1</t>
  </si>
  <si>
    <t>quziente2</t>
  </si>
  <si>
    <t>totale detrazioni</t>
  </si>
  <si>
    <t>Detrazioni altri redditi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</si>
</sst>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_-[$€-2]\ * #.##0.00_-;\-[$€-2]\ * #.##0.00_-;_-[$€-2]\ * &quot;-&quot;??_-"/>
    <numFmt numFmtId="167" formatCode="_-[$€-2]\ * #,##0_-;\-[$€-2]\ * #,##0_-;_-[$€-2]\ * &quot;-&quot;??_-;_-@_-"/>
    <numFmt numFmtId="168" formatCode="_-[$€-2]\ * #.##0_-;\-[$€-2]\ * #.##0_-;_-[$€-2]\ * &quot;-&quot;_-;_-@_-"/>
    <numFmt numFmtId="169" formatCode="_-[$€-2]\ * #,##0.00_-;\-[$€-2]\ * #,##0.00_-;_-[$€-2]\ * &quot;-&quot;??_-;_-@_-"/>
    <numFmt numFmtId="170" formatCode="_-&quot;€&quot;\ * #,##0_-;\-&quot;€&quot;\ * #,##0_-;_-&quot;€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20"/>
      <color indexed="8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sz val="16"/>
      <color indexed="12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0"/>
      <color theme="0"/>
      <name val="Arial"/>
      <family val="2"/>
    </font>
    <font>
      <b/>
      <i/>
      <sz val="11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2"/>
      <color theme="3" tint="-0.249977111117893"/>
      <name val="Arial"/>
      <family val="2"/>
    </font>
    <font>
      <u/>
      <sz val="7.5"/>
      <color theme="1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gray0625">
        <fgColor indexed="9"/>
      </patternFill>
    </fill>
    <fill>
      <patternFill patternType="gray0625">
        <fgColor indexed="9"/>
        <bgColor theme="0" tint="-4.9989318521683403E-2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0" xfId="0" applyAlignment="1" applyProtection="1">
      <alignment vertical="center"/>
      <protection hidden="1"/>
    </xf>
    <xf numFmtId="4" fontId="0" fillId="2" borderId="0" xfId="0" applyNumberForma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6" borderId="2" xfId="0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1" fillId="6" borderId="5" xfId="0" applyFont="1" applyFill="1" applyBorder="1" applyAlignment="1" applyProtection="1">
      <alignment vertical="center"/>
      <protection hidden="1"/>
    </xf>
    <xf numFmtId="0" fontId="0" fillId="6" borderId="3" xfId="0" applyFill="1" applyBorder="1" applyAlignment="1" applyProtection="1">
      <alignment vertical="center"/>
      <protection hidden="1"/>
    </xf>
    <xf numFmtId="0" fontId="0" fillId="6" borderId="6" xfId="0" applyFill="1" applyBorder="1" applyAlignment="1" applyProtection="1">
      <alignment vertical="center"/>
      <protection hidden="1"/>
    </xf>
    <xf numFmtId="0" fontId="0" fillId="6" borderId="5" xfId="0" applyFill="1" applyBorder="1" applyAlignment="1" applyProtection="1">
      <alignment vertical="center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0" fillId="6" borderId="7" xfId="0" applyFill="1" applyBorder="1" applyAlignment="1" applyProtection="1">
      <alignment vertical="center"/>
      <protection hidden="1"/>
    </xf>
    <xf numFmtId="0" fontId="0" fillId="6" borderId="9" xfId="0" applyFill="1" applyBorder="1" applyAlignment="1" applyProtection="1">
      <alignment vertical="center"/>
      <protection hidden="1"/>
    </xf>
    <xf numFmtId="0" fontId="4" fillId="6" borderId="9" xfId="0" applyFont="1" applyFill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164" fontId="0" fillId="4" borderId="8" xfId="0" applyNumberFormat="1" applyFill="1" applyBorder="1" applyAlignment="1" applyProtection="1">
      <alignment vertical="center"/>
      <protection hidden="1"/>
    </xf>
    <xf numFmtId="164" fontId="0" fillId="5" borderId="8" xfId="0" applyNumberFormat="1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horizontal="right" vertical="center"/>
      <protection hidden="1"/>
    </xf>
    <xf numFmtId="164" fontId="0" fillId="0" borderId="8" xfId="0" applyNumberFormat="1" applyFill="1" applyBorder="1" applyAlignment="1" applyProtection="1">
      <alignment vertical="center"/>
      <protection locked="0"/>
    </xf>
    <xf numFmtId="164" fontId="0" fillId="3" borderId="8" xfId="0" applyNumberFormat="1" applyFill="1" applyBorder="1" applyAlignment="1" applyProtection="1">
      <alignment horizontal="right"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4" fillId="6" borderId="3" xfId="0" applyFont="1" applyFill="1" applyBorder="1" applyAlignment="1" applyProtection="1">
      <alignment vertical="center"/>
      <protection hidden="1"/>
    </xf>
    <xf numFmtId="0" fontId="0" fillId="6" borderId="11" xfId="0" applyFill="1" applyBorder="1" applyAlignment="1" applyProtection="1">
      <alignment vertical="center"/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0" fillId="6" borderId="13" xfId="0" applyFill="1" applyBorder="1" applyAlignment="1" applyProtection="1">
      <alignment vertical="center"/>
      <protection hidden="1"/>
    </xf>
    <xf numFmtId="0" fontId="4" fillId="6" borderId="14" xfId="0" applyFont="1" applyFill="1" applyBorder="1" applyAlignment="1" applyProtection="1">
      <alignment vertical="center"/>
      <protection hidden="1"/>
    </xf>
    <xf numFmtId="0" fontId="1" fillId="6" borderId="7" xfId="0" applyFont="1" applyFill="1" applyBorder="1" applyAlignment="1" applyProtection="1">
      <alignment vertical="center"/>
      <protection hidden="1"/>
    </xf>
    <xf numFmtId="0" fontId="6" fillId="6" borderId="15" xfId="0" applyFont="1" applyFill="1" applyBorder="1" applyAlignment="1" applyProtection="1">
      <alignment vertical="center"/>
      <protection hidden="1"/>
    </xf>
    <xf numFmtId="0" fontId="0" fillId="6" borderId="16" xfId="0" applyFill="1" applyBorder="1" applyAlignment="1" applyProtection="1">
      <alignment vertical="center"/>
      <protection hidden="1"/>
    </xf>
    <xf numFmtId="0" fontId="0" fillId="6" borderId="14" xfId="0" applyFill="1" applyBorder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3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6" fillId="6" borderId="3" xfId="0" applyFont="1" applyFill="1" applyBorder="1" applyAlignment="1" applyProtection="1">
      <alignment vertical="center"/>
      <protection hidden="1"/>
    </xf>
    <xf numFmtId="164" fontId="0" fillId="8" borderId="10" xfId="0" applyNumberForma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vertical="center"/>
      <protection locked="0"/>
    </xf>
    <xf numFmtId="164" fontId="0" fillId="8" borderId="8" xfId="0" applyNumberForma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right" vertical="center"/>
      <protection locked="0"/>
    </xf>
    <xf numFmtId="0" fontId="8" fillId="9" borderId="9" xfId="0" applyFont="1" applyFill="1" applyBorder="1" applyAlignment="1" applyProtection="1">
      <alignment vertical="center"/>
      <protection hidden="1"/>
    </xf>
    <xf numFmtId="0" fontId="8" fillId="9" borderId="3" xfId="0" applyFont="1" applyFill="1" applyBorder="1" applyAlignment="1" applyProtection="1">
      <alignment vertical="center"/>
      <protection hidden="1"/>
    </xf>
    <xf numFmtId="0" fontId="8" fillId="9" borderId="4" xfId="0" applyFont="1" applyFill="1" applyBorder="1" applyAlignment="1" applyProtection="1">
      <alignment vertical="center"/>
      <protection hidden="1"/>
    </xf>
    <xf numFmtId="0" fontId="8" fillId="9" borderId="8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10" borderId="9" xfId="0" applyFill="1" applyBorder="1"/>
    <xf numFmtId="0" fontId="0" fillId="10" borderId="3" xfId="0" applyFill="1" applyBorder="1"/>
    <xf numFmtId="0" fontId="10" fillId="10" borderId="3" xfId="0" applyFont="1" applyFill="1" applyBorder="1"/>
    <xf numFmtId="0" fontId="11" fillId="10" borderId="3" xfId="0" applyFont="1" applyFill="1" applyBorder="1"/>
    <xf numFmtId="0" fontId="0" fillId="10" borderId="4" xfId="0" applyFill="1" applyBorder="1"/>
    <xf numFmtId="0" fontId="12" fillId="11" borderId="17" xfId="0" applyFont="1" applyFill="1" applyBorder="1" applyAlignment="1">
      <alignment horizontal="center" wrapText="1"/>
    </xf>
    <xf numFmtId="0" fontId="12" fillId="11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1" xfId="0" applyBorder="1"/>
    <xf numFmtId="0" fontId="12" fillId="11" borderId="20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wrapText="1"/>
    </xf>
    <xf numFmtId="42" fontId="13" fillId="0" borderId="23" xfId="0" applyNumberFormat="1" applyFont="1" applyFill="1" applyBorder="1" applyAlignment="1" applyProtection="1">
      <alignment horizontal="center" vertical="center"/>
      <protection locked="0" hidden="1"/>
    </xf>
    <xf numFmtId="42" fontId="13" fillId="0" borderId="0" xfId="0" applyNumberFormat="1" applyFont="1" applyFill="1" applyBorder="1" applyAlignment="1" applyProtection="1">
      <alignment horizontal="center" vertical="center"/>
      <protection locked="0" hidden="1"/>
    </xf>
    <xf numFmtId="42" fontId="13" fillId="0" borderId="24" xfId="0" applyNumberFormat="1" applyFont="1" applyFill="1" applyBorder="1" applyAlignment="1" applyProtection="1">
      <alignment horizontal="center" vertical="center"/>
      <protection locked="0"/>
    </xf>
    <xf numFmtId="42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/>
    <xf numFmtId="0" fontId="12" fillId="11" borderId="20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center" vertical="center"/>
    </xf>
    <xf numFmtId="42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2" fontId="14" fillId="0" borderId="0" xfId="0" applyNumberFormat="1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42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12" borderId="9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9" xfId="0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165" fontId="12" fillId="0" borderId="23" xfId="1" applyNumberFormat="1" applyFont="1" applyBorder="1"/>
    <xf numFmtId="167" fontId="18" fillId="14" borderId="0" xfId="3" applyNumberFormat="1" applyFont="1" applyFill="1" applyBorder="1" applyAlignment="1" applyProtection="1">
      <alignment vertical="center"/>
      <protection hidden="1"/>
    </xf>
    <xf numFmtId="168" fontId="11" fillId="0" borderId="0" xfId="3" applyNumberFormat="1" applyFont="1" applyBorder="1" applyAlignment="1">
      <alignment horizontal="right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4" xfId="0" applyFont="1" applyFill="1" applyBorder="1" applyAlignment="1">
      <alignment horizontal="center" vertical="center"/>
    </xf>
    <xf numFmtId="167" fontId="18" fillId="14" borderId="9" xfId="3" applyNumberFormat="1" applyFont="1" applyFill="1" applyBorder="1" applyAlignment="1" applyProtection="1">
      <alignment horizontal="center" vertical="center"/>
      <protection hidden="1"/>
    </xf>
    <xf numFmtId="167" fontId="18" fillId="14" borderId="4" xfId="3" applyNumberFormat="1" applyFont="1" applyFill="1" applyBorder="1" applyAlignment="1" applyProtection="1">
      <alignment horizontal="center" vertical="center"/>
      <protection hidden="1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167" fontId="18" fillId="14" borderId="8" xfId="3" applyNumberFormat="1" applyFont="1" applyFill="1" applyBorder="1" applyAlignment="1" applyProtection="1">
      <alignment vertical="center"/>
      <protection hidden="1"/>
    </xf>
    <xf numFmtId="167" fontId="18" fillId="14" borderId="8" xfId="3" applyNumberFormat="1" applyFont="1" applyFill="1" applyBorder="1" applyAlignment="1" applyProtection="1">
      <alignment horizontal="center" vertical="center"/>
      <protection hidden="1"/>
    </xf>
    <xf numFmtId="167" fontId="18" fillId="14" borderId="0" xfId="3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>
      <alignment horizontal="center" vertical="center"/>
    </xf>
    <xf numFmtId="169" fontId="12" fillId="14" borderId="0" xfId="3" applyNumberFormat="1" applyFont="1" applyFill="1" applyBorder="1" applyAlignment="1" applyProtection="1">
      <alignment vertical="center"/>
      <protection hidden="1"/>
    </xf>
    <xf numFmtId="167" fontId="20" fillId="0" borderId="0" xfId="0" applyNumberFormat="1" applyFont="1" applyProtection="1">
      <protection hidden="1"/>
    </xf>
    <xf numFmtId="170" fontId="18" fillId="14" borderId="8" xfId="2" applyNumberFormat="1" applyFont="1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18" fillId="13" borderId="3" xfId="0" applyFont="1" applyFill="1" applyBorder="1" applyAlignment="1" applyProtection="1">
      <alignment horizontal="center" vertical="center"/>
      <protection hidden="1"/>
    </xf>
    <xf numFmtId="0" fontId="18" fillId="13" borderId="4" xfId="0" applyFont="1" applyFill="1" applyBorder="1" applyAlignment="1" applyProtection="1">
      <alignment horizontal="center" vertical="center"/>
      <protection hidden="1"/>
    </xf>
    <xf numFmtId="169" fontId="12" fillId="14" borderId="0" xfId="3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1" fillId="10" borderId="9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2" fontId="18" fillId="0" borderId="8" xfId="2" applyNumberFormat="1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horizontal="center" vertical="center"/>
    </xf>
    <xf numFmtId="167" fontId="10" fillId="15" borderId="3" xfId="3" applyNumberFormat="1" applyFont="1" applyFill="1" applyBorder="1" applyAlignment="1" applyProtection="1">
      <alignment horizontal="center" vertical="center"/>
      <protection hidden="1"/>
    </xf>
    <xf numFmtId="42" fontId="12" fillId="10" borderId="3" xfId="2" applyNumberFormat="1" applyFont="1" applyFill="1" applyBorder="1" applyAlignment="1">
      <alignment vertical="center"/>
    </xf>
    <xf numFmtId="42" fontId="0" fillId="0" borderId="4" xfId="2" applyNumberFormat="1" applyFont="1" applyBorder="1" applyAlignment="1">
      <alignment vertical="center"/>
    </xf>
    <xf numFmtId="169" fontId="12" fillId="14" borderId="0" xfId="3" applyNumberFormat="1" applyFont="1" applyFill="1" applyBorder="1" applyAlignment="1" applyProtection="1">
      <alignment horizontal="center" vertical="center"/>
      <protection locked="0"/>
    </xf>
    <xf numFmtId="165" fontId="0" fillId="0" borderId="0" xfId="1" applyNumberFormat="1" applyFont="1"/>
    <xf numFmtId="3" fontId="0" fillId="0" borderId="0" xfId="0" applyNumberFormat="1"/>
    <xf numFmtId="9" fontId="0" fillId="0" borderId="0" xfId="0" applyNumberFormat="1"/>
    <xf numFmtId="0" fontId="14" fillId="0" borderId="0" xfId="0" applyFont="1"/>
    <xf numFmtId="43" fontId="14" fillId="0" borderId="0" xfId="1" applyFont="1"/>
    <xf numFmtId="43" fontId="0" fillId="0" borderId="0" xfId="1" applyFont="1"/>
    <xf numFmtId="165" fontId="14" fillId="0" borderId="0" xfId="1" applyNumberFormat="1" applyFont="1"/>
    <xf numFmtId="0" fontId="23" fillId="0" borderId="0" xfId="4" applyFont="1" applyAlignment="1" applyProtection="1"/>
    <xf numFmtId="0" fontId="0" fillId="10" borderId="0" xfId="0" applyFill="1" applyBorder="1"/>
    <xf numFmtId="0" fontId="23" fillId="10" borderId="0" xfId="4" applyFont="1" applyFill="1" applyBorder="1" applyAlignment="1" applyProtection="1"/>
    <xf numFmtId="0" fontId="24" fillId="0" borderId="0" xfId="0" applyFont="1"/>
  </cellXfs>
  <cellStyles count="5">
    <cellStyle name="Collegamento ipertestuale" xfId="4" builtinId="8"/>
    <cellStyle name="Euro" xfId="3"/>
    <cellStyle name="Migliaia" xfId="1" builtinId="3"/>
    <cellStyle name="Normale" xfId="0" builtinId="0"/>
    <cellStyle name="Valuta" xfId="2" builtinId="4"/>
  </cellStyles>
  <dxfs count="6">
    <dxf>
      <fill>
        <patternFill>
          <bgColor indexed="9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9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opLeftCell="A37" workbookViewId="0">
      <selection activeCell="E15" sqref="E15"/>
    </sheetView>
  </sheetViews>
  <sheetFormatPr defaultRowHeight="15" x14ac:dyDescent="0.25"/>
  <cols>
    <col min="1" max="1" width="4.42578125" style="1" customWidth="1"/>
    <col min="2" max="3" width="9.140625" style="1"/>
    <col min="4" max="4" width="54.42578125" style="1" customWidth="1"/>
    <col min="5" max="5" width="20.140625" style="1" customWidth="1"/>
    <col min="6" max="6" width="5.28515625" style="1" customWidth="1"/>
    <col min="7" max="9" width="9.140625" style="1"/>
    <col min="10" max="13" width="9.140625" style="1" hidden="1" customWidth="1"/>
    <col min="14" max="14" width="0" style="1" hidden="1" customWidth="1"/>
    <col min="15" max="16384" width="9.140625" style="1"/>
  </cols>
  <sheetData>
    <row r="1" spans="1:13" ht="29.1" customHeight="1" x14ac:dyDescent="0.25">
      <c r="A1" s="33"/>
      <c r="B1" s="33"/>
      <c r="C1" s="34" t="s">
        <v>11</v>
      </c>
      <c r="D1" s="35"/>
      <c r="E1" s="35" t="s">
        <v>32</v>
      </c>
      <c r="F1" s="33"/>
      <c r="L1" s="3">
        <f>(E6*100)/85</f>
        <v>12282.35294117647</v>
      </c>
      <c r="M1" s="1" t="s">
        <v>8</v>
      </c>
    </row>
    <row r="2" spans="1:13" ht="29.1" customHeight="1" x14ac:dyDescent="0.25">
      <c r="B2" s="36"/>
      <c r="C2" s="37" t="s">
        <v>19</v>
      </c>
      <c r="D2" s="8"/>
      <c r="E2" s="11"/>
      <c r="L2" s="3">
        <f>IF(E8&gt;0,E8*(E9/100)*(IF(E10="Libero",21,IF(E10="Convenzionale",19,0))/100),(IF(E6&gt;0,L1*(E9/100)*(IF(E10="Libero",21,IF(E10="Convenzionale",19,0))/100),E3*E4*(E9/100)*(IF(E10="Libero",21,IF(E10="Convenzionale",19,0))/100))))</f>
        <v>2520</v>
      </c>
      <c r="M2" s="1" t="s">
        <v>5</v>
      </c>
    </row>
    <row r="3" spans="1:13" ht="29.1" customHeight="1" x14ac:dyDescent="0.25">
      <c r="B3" s="6" t="s">
        <v>0</v>
      </c>
      <c r="C3" s="4"/>
      <c r="D3" s="27"/>
      <c r="E3" s="38">
        <v>1000</v>
      </c>
    </row>
    <row r="4" spans="1:13" ht="29.1" customHeight="1" x14ac:dyDescent="0.25">
      <c r="B4" s="25" t="s">
        <v>13</v>
      </c>
      <c r="C4" s="5"/>
      <c r="D4" s="26"/>
      <c r="E4" s="39">
        <v>12</v>
      </c>
    </row>
    <row r="5" spans="1:13" ht="15" customHeight="1" x14ac:dyDescent="0.25">
      <c r="B5" s="14" t="s">
        <v>2</v>
      </c>
      <c r="C5" s="8"/>
      <c r="D5" s="11"/>
      <c r="E5" s="20" t="s">
        <v>9</v>
      </c>
    </row>
    <row r="6" spans="1:13" ht="29.1" customHeight="1" x14ac:dyDescent="0.25">
      <c r="B6" s="6" t="s">
        <v>33</v>
      </c>
      <c r="C6" s="6"/>
      <c r="D6" s="27"/>
      <c r="E6" s="40">
        <f>12000*87/100</f>
        <v>10440</v>
      </c>
    </row>
    <row r="7" spans="1:13" ht="15" customHeight="1" x14ac:dyDescent="0.25">
      <c r="B7" s="28" t="s">
        <v>23</v>
      </c>
      <c r="C7" s="7"/>
      <c r="D7" s="29"/>
      <c r="E7" s="20" t="s">
        <v>24</v>
      </c>
    </row>
    <row r="8" spans="1:13" ht="29.1" customHeight="1" x14ac:dyDescent="0.25">
      <c r="B8" s="13" t="s">
        <v>10</v>
      </c>
      <c r="C8" s="8"/>
      <c r="D8" s="11"/>
      <c r="E8" s="17">
        <f>+E6/0.87</f>
        <v>12000</v>
      </c>
    </row>
    <row r="9" spans="1:13" ht="29.1" customHeight="1" x14ac:dyDescent="0.25">
      <c r="B9" s="13" t="s">
        <v>7</v>
      </c>
      <c r="C9" s="8"/>
      <c r="D9" s="11"/>
      <c r="E9" s="39">
        <v>100</v>
      </c>
    </row>
    <row r="10" spans="1:13" ht="29.1" customHeight="1" x14ac:dyDescent="0.25">
      <c r="B10" s="13" t="s">
        <v>1</v>
      </c>
      <c r="C10" s="8"/>
      <c r="D10" s="11"/>
      <c r="E10" s="16" t="s">
        <v>3</v>
      </c>
    </row>
    <row r="11" spans="1:13" ht="29.1" customHeight="1" x14ac:dyDescent="0.25">
      <c r="B11" s="6" t="s">
        <v>14</v>
      </c>
      <c r="C11" s="4"/>
      <c r="D11" s="27"/>
      <c r="E11" s="18">
        <f>L2</f>
        <v>2520</v>
      </c>
    </row>
    <row r="12" spans="1:13" ht="29.1" customHeight="1" x14ac:dyDescent="0.25">
      <c r="B12" s="6" t="s">
        <v>28</v>
      </c>
      <c r="C12" s="4"/>
      <c r="D12" s="27"/>
      <c r="E12" s="21"/>
    </row>
    <row r="13" spans="1:13" ht="29.1" customHeight="1" x14ac:dyDescent="0.25">
      <c r="B13" s="13" t="s">
        <v>21</v>
      </c>
      <c r="C13" s="8"/>
      <c r="D13" s="11"/>
      <c r="E13" s="17"/>
    </row>
    <row r="14" spans="1:13" ht="29.1" customHeight="1" x14ac:dyDescent="0.25">
      <c r="B14" s="25" t="s">
        <v>25</v>
      </c>
      <c r="C14" s="5"/>
      <c r="D14" s="26"/>
      <c r="E14" s="18">
        <f>E11-E12-E13</f>
        <v>2520</v>
      </c>
    </row>
    <row r="15" spans="1:13" ht="15" customHeight="1" x14ac:dyDescent="0.25">
      <c r="B15" s="14" t="s">
        <v>2</v>
      </c>
      <c r="C15" s="24"/>
      <c r="D15" s="11"/>
      <c r="E15" s="22" t="s">
        <v>9</v>
      </c>
    </row>
    <row r="16" spans="1:13" ht="29.1" customHeight="1" thickBot="1" x14ac:dyDescent="0.3">
      <c r="B16" s="25" t="s">
        <v>15</v>
      </c>
      <c r="C16" s="5"/>
      <c r="D16" s="26"/>
      <c r="E16" s="18">
        <f>IF(E14&lt;0,E14,E14+(0.4*E14)/100)</f>
        <v>2530.08</v>
      </c>
    </row>
    <row r="17" spans="2:13" ht="29.1" customHeight="1" thickTop="1" x14ac:dyDescent="0.25">
      <c r="B17" s="30" t="s">
        <v>20</v>
      </c>
      <c r="C17" s="9"/>
      <c r="D17" s="31"/>
      <c r="E17" s="23"/>
    </row>
    <row r="18" spans="2:13" ht="29.1" customHeight="1" x14ac:dyDescent="0.25">
      <c r="B18" s="25" t="s">
        <v>0</v>
      </c>
      <c r="C18" s="5"/>
      <c r="D18" s="26"/>
      <c r="E18" s="17">
        <v>1000</v>
      </c>
    </row>
    <row r="19" spans="2:13" ht="29.1" customHeight="1" x14ac:dyDescent="0.25">
      <c r="B19" s="25" t="s">
        <v>16</v>
      </c>
      <c r="C19" s="5"/>
      <c r="D19" s="26"/>
      <c r="E19" s="15">
        <v>12</v>
      </c>
      <c r="J19" s="1">
        <v>1</v>
      </c>
    </row>
    <row r="20" spans="2:13" ht="15" customHeight="1" x14ac:dyDescent="0.25">
      <c r="B20" s="14" t="s">
        <v>2</v>
      </c>
      <c r="C20" s="8"/>
      <c r="D20" s="11"/>
      <c r="E20" s="20" t="s">
        <v>9</v>
      </c>
      <c r="J20" s="1">
        <v>2</v>
      </c>
      <c r="L20" s="1" t="s">
        <v>3</v>
      </c>
    </row>
    <row r="21" spans="2:13" ht="29.1" customHeight="1" x14ac:dyDescent="0.25">
      <c r="B21" s="6" t="s">
        <v>33</v>
      </c>
      <c r="C21" s="6"/>
      <c r="D21" s="27"/>
      <c r="E21" s="40">
        <v>10400</v>
      </c>
      <c r="J21" s="1">
        <v>3</v>
      </c>
      <c r="L21" s="1" t="s">
        <v>4</v>
      </c>
    </row>
    <row r="22" spans="2:13" ht="15" customHeight="1" x14ac:dyDescent="0.25">
      <c r="B22" s="14" t="s">
        <v>23</v>
      </c>
      <c r="C22" s="8"/>
      <c r="D22" s="11"/>
      <c r="E22" s="20" t="s">
        <v>24</v>
      </c>
      <c r="J22" s="1">
        <v>4</v>
      </c>
    </row>
    <row r="23" spans="2:13" ht="29.1" customHeight="1" x14ac:dyDescent="0.25">
      <c r="B23" s="25" t="s">
        <v>10</v>
      </c>
      <c r="C23" s="5"/>
      <c r="D23" s="26"/>
      <c r="E23" s="40">
        <f>+E21/0.87</f>
        <v>11954.022988505747</v>
      </c>
      <c r="J23" s="1">
        <v>5</v>
      </c>
    </row>
    <row r="24" spans="2:13" ht="29.1" customHeight="1" x14ac:dyDescent="0.25">
      <c r="B24" s="13" t="s">
        <v>7</v>
      </c>
      <c r="C24" s="8"/>
      <c r="D24" s="11"/>
      <c r="E24" s="39">
        <v>100</v>
      </c>
      <c r="J24" s="1">
        <v>6</v>
      </c>
      <c r="L24" s="2">
        <f>(E21*100)/85</f>
        <v>12235.294117647059</v>
      </c>
      <c r="M24" s="1" t="s">
        <v>8</v>
      </c>
    </row>
    <row r="25" spans="2:13" ht="29.1" customHeight="1" x14ac:dyDescent="0.25">
      <c r="B25" s="13" t="s">
        <v>1</v>
      </c>
      <c r="C25" s="8"/>
      <c r="D25" s="11"/>
      <c r="E25" s="41" t="s">
        <v>3</v>
      </c>
      <c r="J25" s="1">
        <v>7</v>
      </c>
      <c r="L25" s="2">
        <f>IF(E23&gt;0,E23*(E24/100)*(IF(E25="Libero",21,IF(E25="Convenzionale",19,0))/100),(IF(E21&gt;0,L24*(E24/100)*(IF(E25="Libero",21,IF(E25="Convenzionale",19,0))/100),E18*E19*(E24/100)*(IF(E25="Libero",21,IF(E25="Convenzionale",19,0))/100))))</f>
        <v>2510.344827586207</v>
      </c>
      <c r="M25" s="1" t="s">
        <v>5</v>
      </c>
    </row>
    <row r="26" spans="2:13" ht="29.1" customHeight="1" x14ac:dyDescent="0.25">
      <c r="B26" s="25" t="s">
        <v>26</v>
      </c>
      <c r="C26" s="5"/>
      <c r="D26" s="26"/>
      <c r="E26" s="18">
        <f>IF(L25&lt;=51.65,0,IF(L26&lt;=257.52,0,L25*38/100))</f>
        <v>953.93103448275872</v>
      </c>
      <c r="J26" s="1">
        <v>8</v>
      </c>
      <c r="L26" s="2">
        <f>L25*92/100</f>
        <v>2309.5172413793102</v>
      </c>
      <c r="M26" s="1" t="s">
        <v>6</v>
      </c>
    </row>
    <row r="27" spans="2:13" ht="15" customHeight="1" x14ac:dyDescent="0.25">
      <c r="B27" s="14" t="s">
        <v>2</v>
      </c>
      <c r="C27" s="8"/>
      <c r="D27" s="11"/>
      <c r="E27" s="22" t="s">
        <v>9</v>
      </c>
      <c r="J27" s="1">
        <v>9</v>
      </c>
    </row>
    <row r="28" spans="2:13" ht="29.1" customHeight="1" x14ac:dyDescent="0.25">
      <c r="B28" s="6" t="s">
        <v>17</v>
      </c>
      <c r="C28" s="4"/>
      <c r="D28" s="27"/>
      <c r="E28" s="18">
        <f>IF(L25&lt;=51.65,0,IF(L26&lt;=257.52,0,(L25*38/100)+(0.4*(L25*38/100))/100))</f>
        <v>957.74675862068977</v>
      </c>
      <c r="J28" s="1">
        <v>10</v>
      </c>
    </row>
    <row r="29" spans="2:13" ht="29.1" customHeight="1" x14ac:dyDescent="0.25">
      <c r="B29" s="6" t="s">
        <v>22</v>
      </c>
      <c r="C29" s="4"/>
      <c r="D29" s="27"/>
      <c r="E29" s="40"/>
      <c r="J29" s="1">
        <v>11</v>
      </c>
    </row>
    <row r="30" spans="2:13" ht="29.1" customHeight="1" x14ac:dyDescent="0.25">
      <c r="B30" s="13" t="s">
        <v>27</v>
      </c>
      <c r="C30" s="8"/>
      <c r="D30" s="11"/>
      <c r="E30" s="18">
        <f>IF(E29&lt;&gt;"",IF((L26-E29)&lt;0,0,L26-E29),(IF(L25&lt;=51.65,0,IF(L26&lt;=257.52,L26,L25*54/100))))</f>
        <v>1355.5862068965519</v>
      </c>
      <c r="J30" s="1">
        <v>12</v>
      </c>
    </row>
    <row r="31" spans="2:13" ht="29.1" customHeight="1" x14ac:dyDescent="0.25">
      <c r="B31" s="13" t="s">
        <v>18</v>
      </c>
      <c r="C31" s="8"/>
      <c r="D31" s="11"/>
      <c r="E31" s="18">
        <f>L26</f>
        <v>2309.5172413793102</v>
      </c>
    </row>
    <row r="32" spans="2:13" ht="29.1" customHeight="1" x14ac:dyDescent="0.25">
      <c r="B32" s="32" t="s">
        <v>12</v>
      </c>
      <c r="C32" s="10"/>
      <c r="D32" s="12"/>
      <c r="E32" s="18">
        <f>L25</f>
        <v>2510.344827586207</v>
      </c>
    </row>
    <row r="33" spans="2:5" ht="29.1" customHeight="1" x14ac:dyDescent="0.25">
      <c r="B33" s="42" t="s">
        <v>30</v>
      </c>
      <c r="C33" s="43"/>
      <c r="D33" s="44"/>
      <c r="E33" s="45"/>
    </row>
    <row r="34" spans="2:5" ht="29.1" customHeight="1" x14ac:dyDescent="0.25">
      <c r="B34" s="13" t="s">
        <v>29</v>
      </c>
      <c r="C34" s="8"/>
      <c r="D34" s="11"/>
      <c r="E34" s="17">
        <v>2400</v>
      </c>
    </row>
    <row r="35" spans="2:5" ht="29.1" customHeight="1" x14ac:dyDescent="0.25">
      <c r="B35" s="13" t="s">
        <v>31</v>
      </c>
      <c r="C35" s="8"/>
      <c r="D35" s="11"/>
      <c r="E35" s="19">
        <f>IF(E34&lt;=51.65,0,IF((E34*92/100)&lt;=257.52,0,E34*38/100))</f>
        <v>912</v>
      </c>
    </row>
    <row r="36" spans="2:5" ht="29.1" customHeight="1" x14ac:dyDescent="0.25">
      <c r="B36" s="13" t="s">
        <v>27</v>
      </c>
      <c r="C36" s="8"/>
      <c r="D36" s="11"/>
      <c r="E36" s="19">
        <f>IF(E34&lt;=51.65,0,IF((E34*92/100)&lt;=257.52,(E34*92/100),E34*54/100))</f>
        <v>1296</v>
      </c>
    </row>
    <row r="37" spans="2:5" ht="29.1" customHeight="1" x14ac:dyDescent="0.25">
      <c r="B37" s="6" t="s">
        <v>18</v>
      </c>
      <c r="C37" s="4"/>
      <c r="D37" s="27"/>
      <c r="E37" s="19">
        <f>E35+E36</f>
        <v>2208</v>
      </c>
    </row>
    <row r="38" spans="2:5" ht="15" customHeight="1" x14ac:dyDescent="0.25"/>
    <row r="39" spans="2:5" ht="15" customHeight="1" x14ac:dyDescent="0.25"/>
  </sheetData>
  <phoneticPr fontId="5" type="noConversion"/>
  <dataValidations count="2">
    <dataValidation type="list" allowBlank="1" showInputMessage="1" showErrorMessage="1" sqref="E25 E10">
      <formula1>$L$20:$L$21</formula1>
    </dataValidation>
    <dataValidation type="list" allowBlank="1" showInputMessage="1" showErrorMessage="1" sqref="E19 E4">
      <formula1>$J$19:$J$30</formula1>
    </dataValidation>
  </dataValidations>
  <printOptions horizontalCentered="1" verticalCentered="1"/>
  <pageMargins left="0.70866141732283472" right="0.31496062992125984" top="0" bottom="0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workbookViewId="0">
      <selection activeCell="A28" sqref="A28:XFD28"/>
    </sheetView>
  </sheetViews>
  <sheetFormatPr defaultRowHeight="15" x14ac:dyDescent="0.25"/>
  <cols>
    <col min="1" max="1" width="7.42578125" customWidth="1"/>
    <col min="3" max="3" width="12.140625" customWidth="1"/>
    <col min="4" max="4" width="23.42578125" customWidth="1"/>
    <col min="5" max="5" width="23.140625" customWidth="1"/>
    <col min="6" max="6" width="3.5703125" customWidth="1"/>
    <col min="7" max="7" width="3.85546875" customWidth="1"/>
    <col min="8" max="8" width="9.28515625" bestFit="1" customWidth="1"/>
    <col min="9" max="9" width="18" customWidth="1"/>
    <col min="11" max="11" width="7.5703125" customWidth="1"/>
    <col min="12" max="12" width="11" customWidth="1"/>
    <col min="13" max="13" width="11" bestFit="1" customWidth="1"/>
    <col min="14" max="14" width="9.28515625" bestFit="1" customWidth="1"/>
    <col min="15" max="15" width="9.140625" customWidth="1"/>
    <col min="16" max="16" width="11.5703125" customWidth="1"/>
  </cols>
  <sheetData>
    <row r="1" spans="1:13" x14ac:dyDescent="0.25">
      <c r="H1" s="46"/>
      <c r="I1" s="46"/>
    </row>
    <row r="2" spans="1:13" ht="15.75" x14ac:dyDescent="0.25">
      <c r="A2" s="47"/>
      <c r="B2" s="48"/>
      <c r="C2" s="49" t="s">
        <v>34</v>
      </c>
      <c r="D2" s="48"/>
      <c r="E2" s="48"/>
      <c r="F2" s="48"/>
      <c r="G2" s="48"/>
      <c r="H2" s="48"/>
      <c r="I2" s="48"/>
      <c r="J2" s="48"/>
      <c r="K2" s="48"/>
      <c r="L2" s="50" t="s">
        <v>35</v>
      </c>
      <c r="M2" s="51"/>
    </row>
    <row r="3" spans="1:13" ht="15.75" thickBot="1" x14ac:dyDescent="0.3"/>
    <row r="4" spans="1:13" ht="16.5" thickTop="1" thickBot="1" x14ac:dyDescent="0.3">
      <c r="D4" s="52" t="s">
        <v>36</v>
      </c>
      <c r="E4" s="53" t="s">
        <v>37</v>
      </c>
      <c r="F4" s="54"/>
    </row>
    <row r="5" spans="1:13" ht="16.5" thickTop="1" thickBot="1" x14ac:dyDescent="0.3">
      <c r="D5" s="55">
        <v>12</v>
      </c>
      <c r="E5" s="56">
        <v>1</v>
      </c>
    </row>
    <row r="6" spans="1:13" ht="16.5" thickTop="1" thickBot="1" x14ac:dyDescent="0.3">
      <c r="B6" s="57"/>
      <c r="C6" s="57"/>
      <c r="D6" s="57"/>
    </row>
    <row r="7" spans="1:13" ht="16.5" thickTop="1" thickBot="1" x14ac:dyDescent="0.3">
      <c r="B7" s="58" t="s">
        <v>38</v>
      </c>
      <c r="C7" s="59"/>
      <c r="D7" s="60"/>
      <c r="E7" s="61">
        <v>20000</v>
      </c>
      <c r="F7" s="62"/>
      <c r="G7" s="46"/>
    </row>
    <row r="8" spans="1:13" ht="16.5" thickTop="1" thickBot="1" x14ac:dyDescent="0.3">
      <c r="B8" s="58" t="s">
        <v>39</v>
      </c>
      <c r="C8" s="59"/>
      <c r="D8" s="59"/>
      <c r="E8" s="63">
        <v>6000</v>
      </c>
      <c r="F8" s="64"/>
      <c r="G8" s="65"/>
    </row>
    <row r="9" spans="1:13" ht="16.5" thickTop="1" thickBot="1" x14ac:dyDescent="0.3">
      <c r="B9" s="58" t="s">
        <v>40</v>
      </c>
      <c r="C9" s="59"/>
      <c r="D9" s="59"/>
      <c r="E9" s="63"/>
      <c r="F9" s="64"/>
      <c r="G9" s="65"/>
    </row>
    <row r="10" spans="1:13" ht="16.5" thickTop="1" thickBot="1" x14ac:dyDescent="0.3">
      <c r="B10" s="58" t="s">
        <v>41</v>
      </c>
      <c r="C10" s="59"/>
      <c r="D10" s="59"/>
      <c r="E10" s="63">
        <v>22323</v>
      </c>
      <c r="F10" s="64"/>
      <c r="G10" s="65"/>
    </row>
    <row r="11" spans="1:13" ht="16.5" thickTop="1" thickBot="1" x14ac:dyDescent="0.3">
      <c r="B11" s="66" t="s">
        <v>42</v>
      </c>
      <c r="C11" s="67"/>
      <c r="D11" s="67"/>
      <c r="E11" s="63"/>
      <c r="F11" s="64"/>
      <c r="G11" s="65"/>
    </row>
    <row r="12" spans="1:13" ht="16.5" thickTop="1" thickBot="1" x14ac:dyDescent="0.3">
      <c r="B12" s="66" t="s">
        <v>43</v>
      </c>
      <c r="C12" s="67"/>
      <c r="D12" s="67"/>
      <c r="E12" s="68">
        <v>1500</v>
      </c>
      <c r="F12" s="64"/>
      <c r="G12" s="69"/>
      <c r="I12" s="70">
        <f>+E7+E8+E9+E10+E11-E12</f>
        <v>46823</v>
      </c>
    </row>
    <row r="13" spans="1:13" ht="15.75" thickTop="1" x14ac:dyDescent="0.25">
      <c r="B13" s="71"/>
      <c r="C13" s="71"/>
      <c r="D13" s="72"/>
      <c r="E13" s="73"/>
      <c r="F13" s="73"/>
      <c r="G13" s="69"/>
    </row>
    <row r="14" spans="1:13" x14ac:dyDescent="0.25">
      <c r="B14" s="71"/>
      <c r="C14" s="74" t="s">
        <v>44</v>
      </c>
      <c r="D14" s="75"/>
      <c r="E14" s="76"/>
      <c r="F14" s="73"/>
      <c r="G14" s="69"/>
      <c r="I14" s="77" t="s">
        <v>45</v>
      </c>
      <c r="J14" s="78"/>
      <c r="K14" s="79"/>
    </row>
    <row r="15" spans="1:13" x14ac:dyDescent="0.25">
      <c r="B15" s="80"/>
      <c r="C15" s="80"/>
      <c r="D15" s="80"/>
      <c r="E15" s="81"/>
      <c r="F15" s="69"/>
      <c r="G15" s="69"/>
    </row>
    <row r="16" spans="1:13" x14ac:dyDescent="0.25">
      <c r="B16" s="82" t="s">
        <v>46</v>
      </c>
      <c r="C16" s="83"/>
      <c r="D16" s="84"/>
      <c r="E16" s="85">
        <f>IF(I12&lt;0,0,I12)</f>
        <v>46823</v>
      </c>
      <c r="F16" s="86"/>
      <c r="G16" s="87"/>
      <c r="H16" s="88" t="s">
        <v>47</v>
      </c>
      <c r="I16" s="88"/>
      <c r="J16" s="89"/>
      <c r="K16" s="90">
        <f>+E9+E10+E11-E12</f>
        <v>20823</v>
      </c>
      <c r="L16" s="91"/>
    </row>
    <row r="17" spans="2:12" x14ac:dyDescent="0.25">
      <c r="B17" s="74" t="s">
        <v>48</v>
      </c>
      <c r="C17" s="92"/>
      <c r="D17" s="93"/>
      <c r="E17" s="94">
        <f>IF(E16&lt;I39,E16*J39,IF(E16&lt;I40,L39+(E16-H40)*J40,IF(E16&lt;I41,L40+(E16-H41)*J41,IF(E16&lt;I42,L41+(E16-H42)*J42,L42+(E16-H43)*J43))))</f>
        <v>14112.74</v>
      </c>
      <c r="F17" s="86"/>
      <c r="G17" s="46"/>
      <c r="H17" s="88" t="s">
        <v>48</v>
      </c>
      <c r="I17" s="88"/>
      <c r="J17" s="89"/>
      <c r="K17" s="90">
        <f>IF(K16&lt;I39,K16*J39,IF(K16&lt;I40,L39+(K16-H40)*J40,IF(K16&lt;I41,L40+(K16-H41)*J41,IF(K16&lt;I42,L41+(K16-H42)*J42,L42+(K16-H43)*J43))))</f>
        <v>5022.21</v>
      </c>
      <c r="L17" s="91"/>
    </row>
    <row r="18" spans="2:12" x14ac:dyDescent="0.25">
      <c r="B18" s="74" t="s">
        <v>49</v>
      </c>
      <c r="C18" s="92"/>
      <c r="D18" s="93"/>
      <c r="E18" s="94">
        <f>ROUND(C68,0)+ROUND(C72,0)</f>
        <v>2246</v>
      </c>
      <c r="F18" s="86"/>
      <c r="G18" s="46"/>
      <c r="H18" s="88" t="s">
        <v>50</v>
      </c>
      <c r="I18" s="88"/>
      <c r="J18" s="89"/>
      <c r="K18" s="90">
        <f>ROUND(C68,0)+ROUND(C72,0)</f>
        <v>2246</v>
      </c>
      <c r="L18" s="91"/>
    </row>
    <row r="19" spans="2:12" x14ac:dyDescent="0.25">
      <c r="B19" s="74" t="s">
        <v>51</v>
      </c>
      <c r="C19" s="92"/>
      <c r="D19" s="93"/>
      <c r="E19" s="95">
        <f>IF(E17-E18&gt;0,E16-E17+E18,E16)</f>
        <v>34956.26</v>
      </c>
      <c r="F19" s="96"/>
      <c r="G19" s="46"/>
      <c r="H19" s="88" t="s">
        <v>51</v>
      </c>
      <c r="I19" s="88"/>
      <c r="J19" s="89"/>
      <c r="K19" s="90">
        <f>IF(K17&gt;K18,K16-K17+K18,K16)</f>
        <v>18046.79</v>
      </c>
      <c r="L19" s="91"/>
    </row>
    <row r="20" spans="2:12" x14ac:dyDescent="0.25">
      <c r="B20" s="74" t="s">
        <v>52</v>
      </c>
      <c r="C20" s="92"/>
      <c r="D20" s="93"/>
      <c r="E20" s="94">
        <f>E7-E7*0.85+E8-E8*0.85*0.7</f>
        <v>5430</v>
      </c>
      <c r="F20" s="86"/>
      <c r="G20" s="46"/>
      <c r="H20" s="88" t="s">
        <v>53</v>
      </c>
      <c r="I20" s="88"/>
      <c r="J20" s="89"/>
      <c r="K20" s="90">
        <f>+E7+E8+E9</f>
        <v>26000</v>
      </c>
      <c r="L20" s="91"/>
    </row>
    <row r="21" spans="2:12" x14ac:dyDescent="0.25">
      <c r="B21" s="97"/>
      <c r="C21" s="97"/>
      <c r="D21" s="97"/>
      <c r="E21" s="98"/>
      <c r="F21" s="98"/>
      <c r="G21" s="46"/>
      <c r="H21" s="69"/>
      <c r="I21" s="69"/>
      <c r="J21" s="69"/>
      <c r="K21" s="99"/>
      <c r="L21" s="99"/>
    </row>
    <row r="22" spans="2:12" x14ac:dyDescent="0.25">
      <c r="B22" s="97"/>
      <c r="C22" s="97"/>
      <c r="D22" s="97"/>
      <c r="E22" s="98"/>
      <c r="F22" s="98"/>
      <c r="G22" s="46"/>
      <c r="H22" s="88" t="s">
        <v>45</v>
      </c>
      <c r="I22" s="88"/>
      <c r="J22" s="89"/>
      <c r="K22" s="90">
        <f>INT(E7*0.21+E8*0.19)</f>
        <v>5340</v>
      </c>
      <c r="L22" s="91"/>
    </row>
    <row r="23" spans="2:12" x14ac:dyDescent="0.25">
      <c r="B23" s="97"/>
      <c r="C23" s="97"/>
      <c r="D23" s="97"/>
      <c r="E23" s="98"/>
      <c r="F23" s="98"/>
      <c r="G23" s="46"/>
      <c r="H23" s="69"/>
      <c r="I23" s="69"/>
      <c r="J23" s="69"/>
      <c r="K23" s="99"/>
      <c r="L23" s="99"/>
    </row>
    <row r="24" spans="2:12" x14ac:dyDescent="0.25">
      <c r="B24" s="74" t="s">
        <v>54</v>
      </c>
      <c r="C24" s="92"/>
      <c r="D24" s="93"/>
      <c r="E24" s="100">
        <f>+E19+E20</f>
        <v>40386.26</v>
      </c>
      <c r="F24" s="86"/>
      <c r="G24" s="101"/>
      <c r="H24" s="102" t="s">
        <v>54</v>
      </c>
      <c r="I24" s="102"/>
      <c r="J24" s="103"/>
      <c r="K24" s="90">
        <f>+K19+K20-K22</f>
        <v>38706.79</v>
      </c>
      <c r="L24" s="91"/>
    </row>
    <row r="25" spans="2:12" x14ac:dyDescent="0.25">
      <c r="B25" s="97"/>
      <c r="C25" s="97"/>
      <c r="D25" s="97"/>
      <c r="E25" s="104"/>
      <c r="F25" s="104"/>
      <c r="G25" s="101"/>
      <c r="H25" s="105"/>
      <c r="I25" s="105"/>
      <c r="J25" s="105"/>
    </row>
    <row r="26" spans="2:12" ht="15.75" x14ac:dyDescent="0.25">
      <c r="B26" s="106" t="s">
        <v>55</v>
      </c>
      <c r="C26" s="107"/>
      <c r="D26" s="108"/>
      <c r="E26" s="109">
        <f>IF((E24&gt;K24),0,K24-E24)</f>
        <v>0</v>
      </c>
      <c r="F26" s="110"/>
      <c r="G26" s="110"/>
      <c r="H26" s="111" t="s">
        <v>56</v>
      </c>
      <c r="I26" s="111"/>
      <c r="J26" s="111"/>
      <c r="K26" s="112">
        <f>+IF((E24&gt;K24),E24-K24,0)</f>
        <v>1679.4700000000012</v>
      </c>
      <c r="L26" s="113"/>
    </row>
    <row r="27" spans="2:12" x14ac:dyDescent="0.25">
      <c r="B27" s="97"/>
      <c r="C27" s="97"/>
      <c r="D27" s="97"/>
      <c r="E27" s="114"/>
      <c r="F27" s="114"/>
      <c r="G27" s="46"/>
    </row>
    <row r="28" spans="2:12" x14ac:dyDescent="0.25">
      <c r="B28" s="97"/>
      <c r="C28" s="97"/>
      <c r="D28" s="97"/>
      <c r="E28" s="114"/>
      <c r="F28" s="114"/>
      <c r="G28" s="46"/>
    </row>
    <row r="29" spans="2:12" x14ac:dyDescent="0.25">
      <c r="B29" s="97"/>
      <c r="C29" s="97"/>
      <c r="D29" s="97"/>
      <c r="E29" s="114"/>
      <c r="F29" s="114"/>
      <c r="G29" s="46"/>
    </row>
    <row r="30" spans="2:12" x14ac:dyDescent="0.25">
      <c r="B30" s="97"/>
      <c r="C30" s="97"/>
      <c r="D30" s="97"/>
      <c r="E30" s="114"/>
      <c r="F30" s="114"/>
      <c r="G30" s="46"/>
    </row>
    <row r="31" spans="2:12" x14ac:dyDescent="0.25">
      <c r="B31" s="97"/>
      <c r="C31" s="97"/>
      <c r="D31" s="97"/>
      <c r="E31" s="114"/>
      <c r="F31" s="114"/>
      <c r="G31" s="46"/>
    </row>
    <row r="32" spans="2:12" x14ac:dyDescent="0.25">
      <c r="B32" s="97"/>
      <c r="C32" s="97"/>
      <c r="D32" s="97"/>
      <c r="E32" s="114"/>
      <c r="F32" s="114"/>
      <c r="G32" s="46"/>
    </row>
    <row r="33" spans="1:14" x14ac:dyDescent="0.25">
      <c r="B33" s="97"/>
      <c r="C33" s="97"/>
      <c r="D33" s="97"/>
      <c r="E33" s="114"/>
      <c r="F33" s="114"/>
      <c r="G33" s="46"/>
    </row>
    <row r="34" spans="1:14" x14ac:dyDescent="0.25">
      <c r="B34" s="97"/>
      <c r="C34" s="97"/>
      <c r="D34" s="97"/>
      <c r="E34" s="114"/>
      <c r="F34" s="114"/>
      <c r="G34" s="46"/>
    </row>
    <row r="35" spans="1:14" x14ac:dyDescent="0.25">
      <c r="B35" s="97"/>
      <c r="C35" s="97"/>
      <c r="D35" s="97"/>
      <c r="E35" s="114"/>
      <c r="F35" s="114"/>
      <c r="G35" s="46"/>
    </row>
    <row r="36" spans="1:14" x14ac:dyDescent="0.25">
      <c r="B36" s="97"/>
      <c r="C36" s="97"/>
      <c r="D36" s="97"/>
      <c r="E36" s="114"/>
      <c r="F36" s="114"/>
      <c r="G36" s="46"/>
    </row>
    <row r="37" spans="1:14" x14ac:dyDescent="0.25">
      <c r="B37" s="97"/>
      <c r="C37" s="97"/>
      <c r="D37" s="97"/>
      <c r="E37" s="114"/>
      <c r="F37" s="114"/>
    </row>
    <row r="38" spans="1:14" x14ac:dyDescent="0.25">
      <c r="B38" s="97"/>
      <c r="C38" s="97"/>
      <c r="D38" s="97"/>
      <c r="E38" s="114"/>
      <c r="F38" s="114"/>
    </row>
    <row r="39" spans="1:14" x14ac:dyDescent="0.25">
      <c r="B39" s="115"/>
      <c r="C39" s="115">
        <v>15000</v>
      </c>
      <c r="D39" s="115">
        <v>0.23</v>
      </c>
      <c r="E39" s="115">
        <f>+L39</f>
        <v>3450</v>
      </c>
      <c r="H39" s="116"/>
      <c r="I39" s="116">
        <v>15000</v>
      </c>
      <c r="J39" s="116">
        <f>+D39</f>
        <v>0.23</v>
      </c>
      <c r="L39" s="116">
        <v>3450</v>
      </c>
    </row>
    <row r="40" spans="1:14" x14ac:dyDescent="0.25">
      <c r="B40" s="115">
        <v>15000</v>
      </c>
      <c r="C40" s="115">
        <v>28000</v>
      </c>
      <c r="D40" s="115">
        <v>0.27</v>
      </c>
      <c r="E40" s="115">
        <f>+L40</f>
        <v>6960</v>
      </c>
      <c r="H40" s="116">
        <v>15000</v>
      </c>
      <c r="I40" s="116">
        <v>28000</v>
      </c>
      <c r="J40" s="117">
        <v>0.27</v>
      </c>
      <c r="L40" s="115">
        <v>6960</v>
      </c>
    </row>
    <row r="41" spans="1:14" x14ac:dyDescent="0.25">
      <c r="B41" s="115">
        <v>28000</v>
      </c>
      <c r="C41" s="115">
        <v>55000</v>
      </c>
      <c r="D41" s="115">
        <v>0.38</v>
      </c>
      <c r="E41" s="115">
        <f>+L41</f>
        <v>17220</v>
      </c>
      <c r="H41" s="116">
        <v>28000</v>
      </c>
      <c r="I41" s="116">
        <v>55000</v>
      </c>
      <c r="J41" s="117">
        <v>0.38</v>
      </c>
      <c r="L41" s="115">
        <v>17220</v>
      </c>
    </row>
    <row r="42" spans="1:14" x14ac:dyDescent="0.25">
      <c r="B42" s="115">
        <v>55000</v>
      </c>
      <c r="C42" s="115">
        <v>75000</v>
      </c>
      <c r="D42" s="115">
        <v>0.41</v>
      </c>
      <c r="E42" s="115">
        <f>+L42</f>
        <v>25420</v>
      </c>
      <c r="H42" s="116">
        <v>55000</v>
      </c>
      <c r="I42" s="116">
        <v>75000</v>
      </c>
      <c r="J42" s="117">
        <v>0.41</v>
      </c>
      <c r="L42" s="115">
        <v>25420</v>
      </c>
    </row>
    <row r="43" spans="1:14" x14ac:dyDescent="0.25">
      <c r="B43" s="115">
        <v>75000</v>
      </c>
      <c r="C43" s="115"/>
      <c r="D43" s="115">
        <v>0.43</v>
      </c>
      <c r="H43" s="116">
        <v>75000</v>
      </c>
      <c r="I43" s="116">
        <v>99999999</v>
      </c>
      <c r="J43" s="117">
        <v>0.43</v>
      </c>
    </row>
    <row r="44" spans="1:14" x14ac:dyDescent="0.25">
      <c r="H44" s="117"/>
    </row>
    <row r="45" spans="1:14" x14ac:dyDescent="0.25">
      <c r="H45" s="117"/>
    </row>
    <row r="46" spans="1:14" x14ac:dyDescent="0.25">
      <c r="N46" s="115"/>
    </row>
    <row r="47" spans="1:14" x14ac:dyDescent="0.25">
      <c r="A47" s="118" t="s">
        <v>57</v>
      </c>
      <c r="B47" s="118"/>
      <c r="C47" s="119"/>
      <c r="D47" s="118"/>
      <c r="E47" s="115"/>
      <c r="N47" s="115"/>
    </row>
    <row r="48" spans="1:14" x14ac:dyDescent="0.25">
      <c r="A48" s="118" t="s">
        <v>58</v>
      </c>
      <c r="B48" s="118"/>
      <c r="C48" s="119">
        <f>IF(C47&lt;I39,C47*J39,IF(C47&lt;I40,L39+(C47-H40)*J40,IF(C47&lt;I41,L40+(C47-H41)*J41,IF(C47&lt;I42,L41+(C47-H42)*J42,L42+(C47-H43)*J43))))</f>
        <v>0</v>
      </c>
      <c r="D48" s="119"/>
      <c r="E48" s="115"/>
      <c r="N48" s="115"/>
    </row>
    <row r="49" spans="1:14" x14ac:dyDescent="0.25">
      <c r="A49" s="118"/>
      <c r="B49" s="118"/>
      <c r="C49" s="119"/>
      <c r="D49" s="118"/>
      <c r="E49" s="115"/>
      <c r="N49" s="115"/>
    </row>
    <row r="50" spans="1:14" x14ac:dyDescent="0.25">
      <c r="A50" s="118" t="s">
        <v>59</v>
      </c>
      <c r="B50" s="118"/>
      <c r="C50" s="119"/>
      <c r="D50" s="118"/>
      <c r="E50" s="115"/>
      <c r="N50" s="115"/>
    </row>
    <row r="51" spans="1:14" x14ac:dyDescent="0.25">
      <c r="A51" s="118"/>
      <c r="B51" s="118"/>
      <c r="C51" s="119"/>
      <c r="D51" s="118"/>
      <c r="E51" s="115"/>
      <c r="F51" s="120"/>
    </row>
    <row r="52" spans="1:14" x14ac:dyDescent="0.25">
      <c r="A52" s="118" t="s">
        <v>60</v>
      </c>
      <c r="B52" s="118"/>
      <c r="C52" s="119">
        <f>IF(D5=0,0,IF(C47=0,0,IF(C47&lt;=I39,(800-(110*C47/I39))*D5/12,0)))</f>
        <v>0</v>
      </c>
      <c r="D52" s="118"/>
      <c r="E52" s="115"/>
      <c r="F52" s="120"/>
    </row>
    <row r="53" spans="1:14" x14ac:dyDescent="0.25">
      <c r="A53" s="118" t="s">
        <v>60</v>
      </c>
      <c r="B53" s="118"/>
      <c r="C53" s="119">
        <f>IF(E16&lt;=I39,0,IF(E16&gt;40000,0,690))*D5/12</f>
        <v>0</v>
      </c>
      <c r="D53" s="118"/>
      <c r="E53" s="115"/>
      <c r="F53" s="120"/>
    </row>
    <row r="54" spans="1:14" x14ac:dyDescent="0.25">
      <c r="A54" s="118" t="s">
        <v>60</v>
      </c>
      <c r="B54" s="118"/>
      <c r="C54" s="119">
        <f>IF(C47&lt;=40000,0,IF(C47&gt;80000,0,((80000-C47)/40000)*690*D5/12))</f>
        <v>0</v>
      </c>
      <c r="D54" s="118"/>
      <c r="E54" s="115"/>
      <c r="F54" s="120"/>
    </row>
    <row r="55" spans="1:14" x14ac:dyDescent="0.25">
      <c r="A55" s="118"/>
      <c r="B55" s="118"/>
      <c r="C55" s="119"/>
      <c r="D55" s="118"/>
      <c r="E55" s="115"/>
      <c r="F55" s="120"/>
    </row>
    <row r="56" spans="1:14" x14ac:dyDescent="0.25">
      <c r="A56" s="118" t="s">
        <v>61</v>
      </c>
      <c r="B56" s="118">
        <f>IF(Q5=0,0,(Q5-1)*15000)</f>
        <v>0</v>
      </c>
      <c r="C56" s="119"/>
      <c r="D56" s="118"/>
      <c r="E56" s="115"/>
      <c r="F56" s="120"/>
    </row>
    <row r="57" spans="1:14" x14ac:dyDescent="0.25">
      <c r="A57" s="118" t="s">
        <v>62</v>
      </c>
      <c r="B57" s="118">
        <f>(95000+B56-E16)/(95000+B56)</f>
        <v>0.50712631578947365</v>
      </c>
      <c r="C57" s="119"/>
      <c r="D57" s="118"/>
      <c r="E57" s="115"/>
      <c r="F57" s="120"/>
    </row>
    <row r="58" spans="1:14" x14ac:dyDescent="0.25">
      <c r="A58" s="118"/>
      <c r="B58" s="118"/>
      <c r="C58" s="119"/>
      <c r="D58" s="118"/>
      <c r="E58" s="115"/>
      <c r="F58" s="120"/>
    </row>
    <row r="59" spans="1:14" x14ac:dyDescent="0.25">
      <c r="A59" s="118" t="s">
        <v>63</v>
      </c>
      <c r="B59" s="118"/>
      <c r="C59" s="119">
        <f>IF(B57=0,0,IF(B57=1,0,800*E5*B57))</f>
        <v>405.70105263157893</v>
      </c>
      <c r="D59" s="118"/>
      <c r="E59" s="115"/>
      <c r="F59" s="120"/>
    </row>
    <row r="60" spans="1:14" x14ac:dyDescent="0.25">
      <c r="A60" s="118"/>
      <c r="B60" s="118"/>
      <c r="C60" s="119"/>
      <c r="D60" s="118"/>
      <c r="E60" s="115"/>
      <c r="F60" s="120"/>
    </row>
    <row r="61" spans="1:14" x14ac:dyDescent="0.25">
      <c r="A61" s="118" t="s">
        <v>64</v>
      </c>
      <c r="B61" s="118"/>
      <c r="C61" s="119">
        <f>SUM(C52:C59)</f>
        <v>405.70105263157893</v>
      </c>
      <c r="D61" s="118"/>
      <c r="E61" s="115"/>
      <c r="F61" s="120"/>
    </row>
    <row r="62" spans="1:14" x14ac:dyDescent="0.25">
      <c r="A62" s="118"/>
      <c r="B62" s="118"/>
      <c r="C62" s="119"/>
      <c r="D62" s="118"/>
      <c r="E62" s="115"/>
      <c r="F62" s="120"/>
    </row>
    <row r="63" spans="1:14" x14ac:dyDescent="0.25">
      <c r="A63" s="118" t="s">
        <v>65</v>
      </c>
      <c r="B63" s="118"/>
      <c r="C63" s="119">
        <f>IF(E11&lt;&gt;0,0,IF(E10=0,0,IF(C47&lt;=8000,1840,0)))</f>
        <v>1840</v>
      </c>
      <c r="D63" s="118"/>
      <c r="E63" s="115"/>
      <c r="F63" s="120"/>
    </row>
    <row r="64" spans="1:14" x14ac:dyDescent="0.25">
      <c r="A64" s="118" t="s">
        <v>66</v>
      </c>
      <c r="B64" s="121">
        <f>IF(C47&gt;15000,0,IF(C47&lt;=8000,0,(15000-C47)/7000))</f>
        <v>0</v>
      </c>
      <c r="C64" s="119">
        <f>IF(E11&lt;&gt;0,0,IF(E10=0,0,IF(C47&gt;15000,0,IF(C47&lt;=8000,0,1338+502*B64))))</f>
        <v>0</v>
      </c>
      <c r="D64" s="118"/>
      <c r="E64" s="115"/>
      <c r="F64" s="120"/>
    </row>
    <row r="65" spans="1:6" x14ac:dyDescent="0.25">
      <c r="A65" s="118" t="s">
        <v>67</v>
      </c>
      <c r="B65" s="118">
        <f>IF(E16&lt;=15000,0,IF(E16&gt;55000,0,(55000-E16)/40000))</f>
        <v>0.204425</v>
      </c>
      <c r="C65" s="119">
        <f>IF(E11&lt;&gt;0,0,IF(E10=0,0,IF(C47&lt;=15000,0,IF(E16&gt;55000,0,1338*B65))))</f>
        <v>0</v>
      </c>
      <c r="D65" s="118"/>
      <c r="E65" s="115"/>
      <c r="F65" s="120"/>
    </row>
    <row r="66" spans="1:6" x14ac:dyDescent="0.25">
      <c r="A66" s="118"/>
      <c r="B66" s="118"/>
      <c r="C66" s="119"/>
      <c r="D66" s="118"/>
      <c r="E66" s="115"/>
      <c r="F66" s="120"/>
    </row>
    <row r="67" spans="1:6" x14ac:dyDescent="0.25">
      <c r="A67" s="118"/>
      <c r="B67" s="118"/>
      <c r="C67" s="119"/>
      <c r="D67" s="118"/>
      <c r="E67" s="115"/>
      <c r="F67" s="120"/>
    </row>
    <row r="68" spans="1:6" x14ac:dyDescent="0.25">
      <c r="A68" s="118" t="s">
        <v>68</v>
      </c>
      <c r="B68" s="118"/>
      <c r="C68" s="119">
        <f>SUM(C61:C65)</f>
        <v>2245.7010526315789</v>
      </c>
      <c r="D68" s="118"/>
      <c r="E68" s="115"/>
      <c r="F68" s="120"/>
    </row>
    <row r="69" spans="1:6" x14ac:dyDescent="0.25">
      <c r="A69" s="118"/>
      <c r="B69" s="118"/>
      <c r="C69" s="119"/>
      <c r="D69" s="118"/>
      <c r="E69" s="115"/>
      <c r="F69" s="120"/>
    </row>
    <row r="70" spans="1:6" x14ac:dyDescent="0.25">
      <c r="A70" s="118" t="s">
        <v>69</v>
      </c>
      <c r="B70" s="118"/>
      <c r="C70" s="119"/>
      <c r="D70" s="118"/>
      <c r="E70" s="115"/>
      <c r="F70" s="120"/>
    </row>
    <row r="71" spans="1:6" x14ac:dyDescent="0.25">
      <c r="A71" s="118" t="s">
        <v>62</v>
      </c>
      <c r="B71" s="118"/>
      <c r="C71" s="119">
        <f>IF($E11&lt;&gt;0,(55000-(E16+E12))/50200,0)</f>
        <v>0</v>
      </c>
      <c r="D71" s="118"/>
      <c r="E71" s="115"/>
      <c r="F71" s="120"/>
    </row>
    <row r="72" spans="1:6" x14ac:dyDescent="0.25">
      <c r="A72" s="118" t="s">
        <v>69</v>
      </c>
      <c r="B72" s="118"/>
      <c r="C72" s="119">
        <f>IF(E16=0,0,IF(K16&lt;=4800,1104,IF(K16&gt;55000,0,ROUND(1104*C71,0))))</f>
        <v>0</v>
      </c>
      <c r="D72" s="118"/>
      <c r="E72" s="115"/>
      <c r="F72" s="120"/>
    </row>
    <row r="73" spans="1:6" x14ac:dyDescent="0.25">
      <c r="A73" s="118"/>
      <c r="B73" s="118"/>
      <c r="C73" s="119"/>
      <c r="D73" s="118"/>
      <c r="E73" s="115"/>
      <c r="F73" s="120"/>
    </row>
    <row r="74" spans="1:6" x14ac:dyDescent="0.25">
      <c r="A74" s="118"/>
      <c r="B74" s="118"/>
      <c r="C74" s="119"/>
      <c r="D74" s="118"/>
      <c r="E74" s="115"/>
      <c r="F74" s="120"/>
    </row>
    <row r="75" spans="1:6" x14ac:dyDescent="0.25">
      <c r="C75" s="120"/>
      <c r="E75" s="115"/>
      <c r="F75" s="120"/>
    </row>
    <row r="76" spans="1:6" x14ac:dyDescent="0.25">
      <c r="C76" s="120"/>
      <c r="E76" s="115"/>
      <c r="F76" s="120"/>
    </row>
    <row r="77" spans="1:6" x14ac:dyDescent="0.25">
      <c r="C77" s="120"/>
      <c r="E77" s="115"/>
      <c r="F77" s="120"/>
    </row>
    <row r="78" spans="1:6" x14ac:dyDescent="0.25">
      <c r="C78" s="120"/>
      <c r="F78" s="120"/>
    </row>
    <row r="79" spans="1:6" x14ac:dyDescent="0.25">
      <c r="F79" s="120"/>
    </row>
    <row r="80" spans="1:6" x14ac:dyDescent="0.25">
      <c r="F80" s="120"/>
    </row>
    <row r="81" spans="1:16" x14ac:dyDescent="0.25">
      <c r="F81" s="120"/>
    </row>
    <row r="82" spans="1:16" x14ac:dyDescent="0.25">
      <c r="F82" s="120"/>
    </row>
    <row r="83" spans="1:16" x14ac:dyDescent="0.25">
      <c r="F83" s="120"/>
      <c r="L83" s="120"/>
    </row>
    <row r="84" spans="1:16" x14ac:dyDescent="0.25">
      <c r="F84" s="120"/>
      <c r="L84" s="120"/>
    </row>
    <row r="85" spans="1:16" x14ac:dyDescent="0.25">
      <c r="L85" s="120"/>
    </row>
    <row r="86" spans="1:16" x14ac:dyDescent="0.25">
      <c r="L86" s="120"/>
    </row>
    <row r="87" spans="1:16" x14ac:dyDescent="0.25">
      <c r="L87" s="120"/>
    </row>
    <row r="88" spans="1:16" x14ac:dyDescent="0.25">
      <c r="L88" s="120"/>
    </row>
    <row r="92" spans="1:16" ht="15.75" x14ac:dyDescent="0.25">
      <c r="C92" s="122"/>
    </row>
    <row r="93" spans="1:16" ht="15.75" x14ac:dyDescent="0.25">
      <c r="A93" s="123"/>
      <c r="B93" s="123"/>
      <c r="C93" s="124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46"/>
      <c r="P93" s="46"/>
    </row>
    <row r="94" spans="1:16" ht="15.75" x14ac:dyDescent="0.25">
      <c r="C94" s="125"/>
    </row>
  </sheetData>
  <mergeCells count="31">
    <mergeCell ref="B26:D26"/>
    <mergeCell ref="H26:J26"/>
    <mergeCell ref="K26:L26"/>
    <mergeCell ref="B20:D20"/>
    <mergeCell ref="H20:J20"/>
    <mergeCell ref="K20:L20"/>
    <mergeCell ref="H22:J22"/>
    <mergeCell ref="K22:L22"/>
    <mergeCell ref="B24:D24"/>
    <mergeCell ref="H24:J24"/>
    <mergeCell ref="K24:L24"/>
    <mergeCell ref="B18:D18"/>
    <mergeCell ref="H18:J18"/>
    <mergeCell ref="K18:L18"/>
    <mergeCell ref="B19:D19"/>
    <mergeCell ref="H19:J19"/>
    <mergeCell ref="K19:L19"/>
    <mergeCell ref="C14:E14"/>
    <mergeCell ref="I14:K14"/>
    <mergeCell ref="B16:D16"/>
    <mergeCell ref="H16:J16"/>
    <mergeCell ref="K16:L16"/>
    <mergeCell ref="B17:D17"/>
    <mergeCell ref="H17:J17"/>
    <mergeCell ref="K17:L17"/>
    <mergeCell ref="B7:D7"/>
    <mergeCell ref="B8:D8"/>
    <mergeCell ref="B9:D9"/>
    <mergeCell ref="B10:D10"/>
    <mergeCell ref="B11:D11"/>
    <mergeCell ref="B12:D12"/>
  </mergeCells>
  <conditionalFormatting sqref="E26:G26">
    <cfRule type="expression" dxfId="2" priority="1" stopIfTrue="1">
      <formula>IF($E$24&gt;$K$24,1,0)</formula>
    </cfRule>
    <cfRule type="expression" dxfId="1" priority="2" stopIfTrue="1">
      <formula>IF($K$24&gt;$E$24,1,0)</formula>
    </cfRule>
    <cfRule type="expression" dxfId="0" priority="3" stopIfTrue="1">
      <formula>"se($E$33=$K$33;1;0)"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Cedolare secca</vt:lpstr>
      <vt:lpstr>Calcolo Convenienza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utente</cp:lastModifiedBy>
  <cp:lastPrinted>2012-11-20T13:40:39Z</cp:lastPrinted>
  <dcterms:created xsi:type="dcterms:W3CDTF">2011-06-03T11:02:32Z</dcterms:created>
  <dcterms:modified xsi:type="dcterms:W3CDTF">2014-10-23T09:56:02Z</dcterms:modified>
</cp:coreProperties>
</file>